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zfer\OneDrive\Documents\05WEF Data Backup\Privatization Files\KWA website\Complaint Pages\"/>
    </mc:Choice>
  </mc:AlternateContent>
  <xr:revisionPtr revIDLastSave="0" documentId="13_ncr:1_{491E00AB-8B7E-4600-AEA6-7FEF40C296E2}" xr6:coauthVersionLast="47" xr6:coauthVersionMax="47" xr10:uidLastSave="{00000000-0000-0000-0000-000000000000}"/>
  <bookViews>
    <workbookView xWindow="1950" yWindow="1665" windowWidth="25140" windowHeight="14535" xr2:uid="{5EFEDE5C-10EC-4F32-9FF2-E17FC92C259D}"/>
  </bookViews>
  <sheets>
    <sheet name="Monthly Vol" sheetId="1" r:id="rId1"/>
  </sheets>
  <externalReferences>
    <externalReference r:id="rId2"/>
  </externalReferences>
  <definedNames>
    <definedName name="_xlnm.Print_Area" localSheetId="0">'Monthly Vol'!$A$1:$E$43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2" i="1" l="1"/>
  <c r="C38" i="1"/>
  <c r="C9" i="1" s="1"/>
  <c r="C37" i="1"/>
  <c r="C36" i="1"/>
  <c r="A28" i="1"/>
  <c r="B27" i="1"/>
  <c r="B16" i="1"/>
  <c r="D10" i="1" l="1"/>
  <c r="A18" i="1" s="1"/>
  <c r="C18" i="1" s="1"/>
  <c r="D11" i="1"/>
  <c r="B49" i="1"/>
  <c r="D9" i="1"/>
  <c r="D38" i="1" s="1"/>
  <c r="C39" i="1"/>
  <c r="D12" i="1" l="1"/>
  <c r="C49" i="1"/>
  <c r="D18" i="1"/>
  <c r="D19" i="1"/>
  <c r="A29" i="1" s="1"/>
  <c r="C29" i="1" s="1"/>
  <c r="D20" i="1" l="1"/>
  <c r="D37" i="1"/>
  <c r="D49" i="1"/>
  <c r="A32" i="1"/>
  <c r="A33" i="1" s="1"/>
  <c r="E49" i="1" s="1"/>
  <c r="D29" i="1"/>
  <c r="D30" i="1" l="1"/>
  <c r="D39" i="1" s="1"/>
  <c r="D36" i="1"/>
</calcChain>
</file>

<file path=xl/sharedStrings.xml><?xml version="1.0" encoding="utf-8"?>
<sst xmlns="http://schemas.openxmlformats.org/spreadsheetml/2006/main" count="72" uniqueCount="36">
  <si>
    <t>Residential Customers Using Over 5,000 gallons/Month</t>
  </si>
  <si>
    <t>Average</t>
  </si>
  <si>
    <t>Number</t>
  </si>
  <si>
    <t>Monthly</t>
  </si>
  <si>
    <t>Customers</t>
  </si>
  <si>
    <t>Annual</t>
  </si>
  <si>
    <t>Rate</t>
  </si>
  <si>
    <t>Bill</t>
  </si>
  <si>
    <t>Required</t>
  </si>
  <si>
    <t>Volume</t>
  </si>
  <si>
    <t>Band</t>
  </si>
  <si>
    <t>&gt;5,000</t>
  </si>
  <si>
    <t>1667- 5,000</t>
  </si>
  <si>
    <t xml:space="preserve"> &lt;1667</t>
  </si>
  <si>
    <t>total</t>
  </si>
  <si>
    <t>Customers Using 1667 - 5,000 gallons/Month</t>
  </si>
  <si>
    <t>Remaining</t>
  </si>
  <si>
    <t>1667 - 5,000</t>
  </si>
  <si>
    <t>Annual Volume</t>
  </si>
  <si>
    <t>Customers Using &lt;1667 gallons/Month</t>
  </si>
  <si>
    <t>0- 1667</t>
  </si>
  <si>
    <t>Customers being billed with consumption &gt; 0</t>
  </si>
  <si>
    <t>Customers with zero consumption</t>
  </si>
  <si>
    <t>Cross</t>
  </si>
  <si>
    <t>Billing Consumptions</t>
  </si>
  <si>
    <t>Annual gallons</t>
  </si>
  <si>
    <t>Check</t>
  </si>
  <si>
    <t>Number of Customers</t>
  </si>
  <si>
    <t>Customer usage required for Aqua's Data</t>
  </si>
  <si>
    <t># Customers</t>
  </si>
  <si>
    <t>&gt;5,000/mon</t>
  </si>
  <si>
    <t>1667 - 5,000/mon</t>
  </si>
  <si>
    <t>&lt;1667/mon</t>
  </si>
  <si>
    <t xml:space="preserve"> @ zero</t>
  </si>
  <si>
    <t>Please do not change other cells</t>
  </si>
  <si>
    <t>Note: Yellow cells are input data for your 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</si>
</sst>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"/>
    <numFmt numFmtId="165" formatCode="_(* #,##0_);_(* \(#,##0\);_(* &quot;-&quot;??_);_(@_)"/>
  </numFmts>
  <fonts count="6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1"/>
      <color theme="1"/>
      <name val="Arial"/>
      <family val="2"/>
    </font>
    <font>
      <b/>
      <u/>
      <sz val="14"/>
      <color theme="1"/>
      <name val="Arial"/>
      <family val="2"/>
    </font>
    <font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/>
    <xf numFmtId="0" fontId="0" fillId="2" borderId="0" xfId="0" applyFill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3" fontId="0" fillId="3" borderId="2" xfId="0" applyNumberFormat="1" applyFill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3" borderId="3" xfId="0" applyNumberFormat="1" applyFill="1" applyBorder="1" applyAlignment="1">
      <alignment horizontal="center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3" fontId="0" fillId="0" borderId="0" xfId="0" applyNumberFormat="1"/>
    <xf numFmtId="164" fontId="0" fillId="0" borderId="0" xfId="0" applyNumberFormat="1" applyAlignment="1">
      <alignment horizontal="center"/>
    </xf>
    <xf numFmtId="0" fontId="0" fillId="0" borderId="5" xfId="0" applyBorder="1"/>
    <xf numFmtId="0" fontId="4" fillId="0" borderId="6" xfId="0" applyFont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right"/>
    </xf>
    <xf numFmtId="0" fontId="0" fillId="0" borderId="9" xfId="0" applyBorder="1"/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8" xfId="0" applyBorder="1"/>
    <xf numFmtId="3" fontId="5" fillId="0" borderId="0" xfId="0" applyNumberFormat="1" applyFont="1" applyAlignment="1">
      <alignment horizontal="center"/>
    </xf>
    <xf numFmtId="3" fontId="5" fillId="0" borderId="15" xfId="0" applyNumberFormat="1" applyFont="1" applyBorder="1" applyAlignment="1">
      <alignment horizontal="center"/>
    </xf>
    <xf numFmtId="3" fontId="5" fillId="0" borderId="15" xfId="0" applyNumberFormat="1" applyFont="1" applyBorder="1"/>
    <xf numFmtId="3" fontId="5" fillId="0" borderId="16" xfId="0" applyNumberFormat="1" applyFont="1" applyBorder="1"/>
    <xf numFmtId="165" fontId="0" fillId="0" borderId="8" xfId="1" applyNumberFormat="1" applyFont="1" applyBorder="1" applyAlignment="1">
      <alignment horizontal="center"/>
    </xf>
    <xf numFmtId="37" fontId="0" fillId="0" borderId="0" xfId="1" applyNumberFormat="1" applyFont="1" applyBorder="1" applyAlignment="1">
      <alignment horizontal="center" vertical="center"/>
    </xf>
    <xf numFmtId="37" fontId="0" fillId="0" borderId="15" xfId="1" applyNumberFormat="1" applyFont="1" applyBorder="1" applyAlignment="1">
      <alignment horizontal="center" vertical="center"/>
    </xf>
    <xf numFmtId="37" fontId="0" fillId="0" borderId="16" xfId="1" applyNumberFormat="1" applyFont="1" applyBorder="1" applyAlignment="1">
      <alignment horizontal="center" vertical="center"/>
    </xf>
    <xf numFmtId="165" fontId="0" fillId="0" borderId="17" xfId="1" applyNumberFormat="1" applyFont="1" applyBorder="1" applyAlignment="1">
      <alignment horizontal="center"/>
    </xf>
    <xf numFmtId="37" fontId="0" fillId="0" borderId="18" xfId="1" applyNumberFormat="1" applyFont="1" applyBorder="1" applyAlignment="1">
      <alignment horizontal="center" vertical="center"/>
    </xf>
    <xf numFmtId="37" fontId="0" fillId="0" borderId="19" xfId="1" applyNumberFormat="1" applyFont="1" applyBorder="1" applyAlignment="1">
      <alignment horizontal="center" vertical="center"/>
    </xf>
    <xf numFmtId="37" fontId="0" fillId="0" borderId="20" xfId="1" applyNumberFormat="1" applyFont="1" applyBorder="1" applyAlignment="1">
      <alignment horizontal="center" vertical="center"/>
    </xf>
    <xf numFmtId="0" fontId="0" fillId="3" borderId="0" xfId="0" applyFill="1"/>
    <xf numFmtId="0" fontId="0" fillId="3" borderId="0" xfId="0" applyFill="1" applyAlignment="1">
      <alignment horizontal="center"/>
    </xf>
  </cellXfs>
  <cellStyles count="2">
    <cellStyle name="Comma" xfId="1" builtinId="3"/>
    <cellStyle name="Normal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zfer\OneDrive\Documents\05WEF%20Data%20Backup\Privatization%20Files\PUC%20Formal%20Complaint%20June-2023\01%20Spreadsheet%20Analysis\New%20Garden%20Rate%20analysis%2027-Dec-2022.xlsx" TargetMode="External"/><Relationship Id="rId1" Type="http://schemas.openxmlformats.org/officeDocument/2006/relationships/externalLinkPath" Target="/Users/zzfer/OneDrive/Documents/05WEF%20Data%20Backup/Privatization%20Files/PUC%20Formal%20Complaint%20June-2023/01%20Spreadsheet%20Analysis/New%20Garden%20Rate%20analysis%2027-Dec-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mpliance Data"/>
      <sheetName val="Pie Chart"/>
      <sheetName val="Rates"/>
      <sheetName val="Estimates"/>
      <sheetName val="Quarterly Vol"/>
      <sheetName val="Monthly Vol"/>
      <sheetName val="WEF Compliance Data"/>
      <sheetName val="WEF Rate Set"/>
      <sheetName val="Rate Charts"/>
      <sheetName val="PUC Vol Table"/>
      <sheetName val="Validation"/>
      <sheetName val="Website Stuff"/>
      <sheetName val="Truck Refund"/>
      <sheetName val="Volume Analysis"/>
    </sheetNames>
    <sheetDataSet>
      <sheetData sheetId="0">
        <row r="7">
          <cell r="T7">
            <v>9580000</v>
          </cell>
        </row>
        <row r="8">
          <cell r="T8">
            <v>17826100</v>
          </cell>
        </row>
        <row r="9">
          <cell r="T9">
            <v>58758600</v>
          </cell>
        </row>
        <row r="10">
          <cell r="S10">
            <v>22992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9CAE1-7B6C-4D07-84FF-A22E63714F73}">
  <dimension ref="A2:S55"/>
  <sheetViews>
    <sheetView tabSelected="1" workbookViewId="0"/>
  </sheetViews>
  <sheetFormatPr defaultRowHeight="14.25" x14ac:dyDescent="0.2"/>
  <cols>
    <col min="1" max="1" width="14.5" customWidth="1"/>
    <col min="2" max="2" width="12" customWidth="1"/>
    <col min="3" max="3" width="15.875" style="3" customWidth="1"/>
    <col min="4" max="4" width="13.25" style="3" customWidth="1"/>
    <col min="5" max="5" width="12.875" customWidth="1"/>
  </cols>
  <sheetData>
    <row r="2" spans="1:5" x14ac:dyDescent="0.2">
      <c r="B2" s="42" t="s">
        <v>35</v>
      </c>
      <c r="C2" s="43"/>
      <c r="D2" s="43"/>
    </row>
    <row r="3" spans="1:5" x14ac:dyDescent="0.2">
      <c r="B3" s="42" t="s">
        <v>34</v>
      </c>
      <c r="C3" s="43"/>
      <c r="D3" s="43"/>
    </row>
    <row r="5" spans="1:5" ht="15.75" x14ac:dyDescent="0.25">
      <c r="A5" s="1" t="s">
        <v>0</v>
      </c>
      <c r="C5"/>
      <c r="D5"/>
    </row>
    <row r="6" spans="1:5" x14ac:dyDescent="0.2">
      <c r="B6" s="3" t="s">
        <v>1</v>
      </c>
      <c r="C6" s="3" t="s">
        <v>2</v>
      </c>
      <c r="D6"/>
    </row>
    <row r="7" spans="1:5" x14ac:dyDescent="0.2">
      <c r="B7" s="3" t="s">
        <v>3</v>
      </c>
      <c r="C7" s="3" t="s">
        <v>4</v>
      </c>
      <c r="D7" s="3" t="s">
        <v>5</v>
      </c>
      <c r="E7" s="3" t="s">
        <v>6</v>
      </c>
    </row>
    <row r="8" spans="1:5" x14ac:dyDescent="0.2">
      <c r="B8" s="4" t="s">
        <v>7</v>
      </c>
      <c r="C8" s="4" t="s">
        <v>8</v>
      </c>
      <c r="D8" s="4" t="s">
        <v>9</v>
      </c>
      <c r="E8" s="4" t="s">
        <v>10</v>
      </c>
    </row>
    <row r="9" spans="1:5" x14ac:dyDescent="0.2">
      <c r="B9" s="5">
        <v>21000</v>
      </c>
      <c r="C9" s="6">
        <f>C38/12/(B9-5000)</f>
        <v>306.03437500000001</v>
      </c>
      <c r="D9" s="6">
        <f>C9*(B9-5000)*12</f>
        <v>58758600</v>
      </c>
      <c r="E9" s="7" t="s">
        <v>11</v>
      </c>
    </row>
    <row r="10" spans="1:5" x14ac:dyDescent="0.2">
      <c r="A10" s="3"/>
      <c r="B10" s="3"/>
      <c r="D10" s="8">
        <f>C9*5000*2/3*12</f>
        <v>12241375</v>
      </c>
      <c r="E10" s="3" t="s">
        <v>12</v>
      </c>
    </row>
    <row r="11" spans="1:5" x14ac:dyDescent="0.2">
      <c r="A11" s="3"/>
      <c r="B11" s="3"/>
      <c r="D11" s="9">
        <f>C9*5000/3*12</f>
        <v>6120687.5</v>
      </c>
      <c r="E11" s="4" t="s">
        <v>13</v>
      </c>
    </row>
    <row r="12" spans="1:5" x14ac:dyDescent="0.2">
      <c r="A12" s="3"/>
      <c r="B12" s="3"/>
      <c r="D12" s="8">
        <f>SUM(D9:D11)</f>
        <v>77120662.5</v>
      </c>
      <c r="E12" s="3" t="s">
        <v>14</v>
      </c>
    </row>
    <row r="13" spans="1:5" x14ac:dyDescent="0.2">
      <c r="B13" s="3"/>
      <c r="D13"/>
    </row>
    <row r="14" spans="1:5" ht="15.75" x14ac:dyDescent="0.25">
      <c r="B14" s="1" t="s">
        <v>15</v>
      </c>
      <c r="D14"/>
    </row>
    <row r="15" spans="1:5" x14ac:dyDescent="0.2">
      <c r="A15" s="3" t="s">
        <v>16</v>
      </c>
      <c r="B15" s="3" t="s">
        <v>3</v>
      </c>
      <c r="C15" s="3" t="s">
        <v>2</v>
      </c>
      <c r="D15" s="3" t="s">
        <v>5</v>
      </c>
      <c r="E15" s="3" t="s">
        <v>6</v>
      </c>
    </row>
    <row r="16" spans="1:5" x14ac:dyDescent="0.2">
      <c r="A16" s="3" t="s">
        <v>17</v>
      </c>
      <c r="B16" s="3" t="str">
        <f>B8</f>
        <v>Bill</v>
      </c>
      <c r="C16" s="3" t="s">
        <v>4</v>
      </c>
      <c r="D16" s="4" t="s">
        <v>9</v>
      </c>
      <c r="E16" s="4" t="s">
        <v>10</v>
      </c>
    </row>
    <row r="17" spans="1:5" x14ac:dyDescent="0.2">
      <c r="A17" s="3" t="s">
        <v>18</v>
      </c>
      <c r="B17" s="3" t="s">
        <v>12</v>
      </c>
      <c r="C17" s="3" t="s">
        <v>8</v>
      </c>
      <c r="D17" s="8">
        <v>0</v>
      </c>
      <c r="E17" s="3" t="s">
        <v>11</v>
      </c>
    </row>
    <row r="18" spans="1:5" x14ac:dyDescent="0.2">
      <c r="A18" s="10">
        <f>C37-D10</f>
        <v>5584725</v>
      </c>
      <c r="B18" s="11">
        <v>5000</v>
      </c>
      <c r="C18" s="6">
        <f>A18/12/(B18-5000/3)</f>
        <v>139.61812500000002</v>
      </c>
      <c r="D18" s="6">
        <f>C18*(B18-5000/3)*12</f>
        <v>5584725</v>
      </c>
      <c r="E18" s="7" t="s">
        <v>12</v>
      </c>
    </row>
    <row r="19" spans="1:5" x14ac:dyDescent="0.2">
      <c r="D19" s="9">
        <f>C18*5000/3*12</f>
        <v>2792362.5000000005</v>
      </c>
      <c r="E19" s="4" t="s">
        <v>13</v>
      </c>
    </row>
    <row r="20" spans="1:5" x14ac:dyDescent="0.2">
      <c r="A20" s="3"/>
      <c r="B20" s="3"/>
      <c r="D20" s="8">
        <f>SUM(D17:D19)</f>
        <v>8377087.5</v>
      </c>
      <c r="E20" s="3" t="s">
        <v>14</v>
      </c>
    </row>
    <row r="21" spans="1:5" x14ac:dyDescent="0.2">
      <c r="A21" s="3"/>
      <c r="B21" s="3"/>
    </row>
    <row r="22" spans="1:5" x14ac:dyDescent="0.2">
      <c r="A22" s="3"/>
      <c r="B22" s="3"/>
    </row>
    <row r="23" spans="1:5" ht="15.75" x14ac:dyDescent="0.25">
      <c r="A23" s="3"/>
      <c r="B23" s="1" t="s">
        <v>19</v>
      </c>
      <c r="D23"/>
    </row>
    <row r="25" spans="1:5" x14ac:dyDescent="0.2">
      <c r="D25" s="3" t="s">
        <v>5</v>
      </c>
      <c r="E25" s="3" t="s">
        <v>6</v>
      </c>
    </row>
    <row r="26" spans="1:5" x14ac:dyDescent="0.2">
      <c r="A26" s="3" t="s">
        <v>16</v>
      </c>
      <c r="B26" s="3" t="s">
        <v>3</v>
      </c>
      <c r="C26" s="3" t="s">
        <v>2</v>
      </c>
      <c r="D26" s="4" t="s">
        <v>9</v>
      </c>
      <c r="E26" s="4" t="s">
        <v>10</v>
      </c>
    </row>
    <row r="27" spans="1:5" x14ac:dyDescent="0.2">
      <c r="A27" s="3" t="s">
        <v>20</v>
      </c>
      <c r="B27" s="3" t="str">
        <f>B8</f>
        <v>Bill</v>
      </c>
      <c r="C27" s="3" t="s">
        <v>4</v>
      </c>
      <c r="D27" s="8">
        <v>0</v>
      </c>
      <c r="E27" s="3" t="s">
        <v>11</v>
      </c>
    </row>
    <row r="28" spans="1:5" x14ac:dyDescent="0.2">
      <c r="A28" s="3" t="str">
        <f>A17</f>
        <v>Annual Volume</v>
      </c>
      <c r="B28" s="3" t="s">
        <v>20</v>
      </c>
      <c r="C28" s="3" t="s">
        <v>8</v>
      </c>
      <c r="D28" s="8">
        <v>0</v>
      </c>
      <c r="E28" s="3" t="s">
        <v>12</v>
      </c>
    </row>
    <row r="29" spans="1:5" x14ac:dyDescent="0.2">
      <c r="A29" s="10">
        <f>C36-D11-D19</f>
        <v>666949.99999999953</v>
      </c>
      <c r="B29" s="11">
        <v>333</v>
      </c>
      <c r="C29" s="6">
        <f>A29/12/B29</f>
        <v>166.90440440440429</v>
      </c>
      <c r="D29" s="6">
        <f>C29*B29*12</f>
        <v>666949.99999999953</v>
      </c>
      <c r="E29" s="7" t="s">
        <v>13</v>
      </c>
    </row>
    <row r="30" spans="1:5" x14ac:dyDescent="0.2">
      <c r="D30" s="8">
        <f>SUM(D27:D29)</f>
        <v>666949.99999999953</v>
      </c>
      <c r="E30" s="3" t="s">
        <v>14</v>
      </c>
    </row>
    <row r="32" spans="1:5" x14ac:dyDescent="0.2">
      <c r="A32" s="12">
        <f>C29+C18+C9</f>
        <v>612.55690440440435</v>
      </c>
      <c r="B32" t="s">
        <v>21</v>
      </c>
    </row>
    <row r="33" spans="1:19" x14ac:dyDescent="0.2">
      <c r="A33" s="12">
        <f>C42-A32</f>
        <v>1303.4430955955957</v>
      </c>
      <c r="B33" t="s">
        <v>22</v>
      </c>
    </row>
    <row r="34" spans="1:19" x14ac:dyDescent="0.2">
      <c r="C34"/>
      <c r="D34" s="13" t="s">
        <v>23</v>
      </c>
    </row>
    <row r="35" spans="1:19" ht="15" x14ac:dyDescent="0.25">
      <c r="B35" s="15" t="s">
        <v>24</v>
      </c>
      <c r="C35" s="14" t="s">
        <v>25</v>
      </c>
      <c r="D35" s="13" t="s">
        <v>26</v>
      </c>
    </row>
    <row r="36" spans="1:19" x14ac:dyDescent="0.2">
      <c r="B36" s="3" t="s">
        <v>13</v>
      </c>
      <c r="C36" s="8">
        <f>'[1]Compliance Data'!T7</f>
        <v>9580000</v>
      </c>
      <c r="D36" s="16">
        <f>C36-D11-D19-D29</f>
        <v>0</v>
      </c>
    </row>
    <row r="37" spans="1:19" ht="15" customHeight="1" x14ac:dyDescent="0.2">
      <c r="B37" s="3" t="s">
        <v>12</v>
      </c>
      <c r="C37" s="8">
        <f>'[1]Compliance Data'!T8</f>
        <v>17826100</v>
      </c>
      <c r="D37" s="16">
        <f>C37-D10-D18</f>
        <v>0</v>
      </c>
    </row>
    <row r="38" spans="1:19" x14ac:dyDescent="0.2">
      <c r="B38" s="3" t="s">
        <v>11</v>
      </c>
      <c r="C38" s="9">
        <f>'[1]Compliance Data'!T9</f>
        <v>58758600</v>
      </c>
      <c r="D38" s="16">
        <f>C38-D9</f>
        <v>0</v>
      </c>
    </row>
    <row r="39" spans="1:19" x14ac:dyDescent="0.2">
      <c r="B39" s="3"/>
      <c r="C39" s="8">
        <f>SUM(C36:C38)</f>
        <v>86164700</v>
      </c>
      <c r="D39" s="16">
        <f>C39-D12-D20-D30</f>
        <v>0</v>
      </c>
    </row>
    <row r="41" spans="1:19" x14ac:dyDescent="0.2">
      <c r="C41" s="3" t="s">
        <v>27</v>
      </c>
    </row>
    <row r="42" spans="1:19" x14ac:dyDescent="0.2">
      <c r="C42" s="17">
        <f>'[1]Compliance Data'!S10/12</f>
        <v>1916</v>
      </c>
    </row>
    <row r="43" spans="1:19" x14ac:dyDescent="0.2">
      <c r="C43"/>
    </row>
    <row r="44" spans="1:19" ht="15" thickBot="1" x14ac:dyDescent="0.25"/>
    <row r="45" spans="1:19" ht="18" x14ac:dyDescent="0.25">
      <c r="A45" s="18"/>
      <c r="B45" s="19" t="s">
        <v>28</v>
      </c>
      <c r="C45" s="20"/>
      <c r="D45" s="20"/>
      <c r="E45" s="21"/>
    </row>
    <row r="46" spans="1:19" s="2" customFormat="1" x14ac:dyDescent="0.2">
      <c r="A46" s="22" t="s">
        <v>1</v>
      </c>
      <c r="B46"/>
      <c r="C46" s="3"/>
      <c r="D46"/>
      <c r="E46" s="23"/>
      <c r="F46"/>
      <c r="G46"/>
      <c r="H46"/>
      <c r="I46"/>
      <c r="J46"/>
      <c r="K46"/>
      <c r="L46"/>
      <c r="M46"/>
      <c r="N46"/>
      <c r="O46"/>
      <c r="P46"/>
      <c r="Q46"/>
      <c r="R46"/>
      <c r="S46"/>
    </row>
    <row r="47" spans="1:19" s="2" customFormat="1" x14ac:dyDescent="0.2">
      <c r="A47" s="24" t="s">
        <v>3</v>
      </c>
      <c r="B47" s="25" t="s">
        <v>29</v>
      </c>
      <c r="C47" s="25" t="s">
        <v>29</v>
      </c>
      <c r="D47" s="25" t="s">
        <v>29</v>
      </c>
      <c r="E47" s="26" t="s">
        <v>29</v>
      </c>
      <c r="F47"/>
      <c r="G47"/>
      <c r="H47"/>
      <c r="I47"/>
      <c r="J47"/>
      <c r="K47"/>
      <c r="L47"/>
      <c r="M47"/>
      <c r="N47"/>
      <c r="O47"/>
      <c r="P47"/>
      <c r="Q47"/>
      <c r="R47"/>
      <c r="S47"/>
    </row>
    <row r="48" spans="1:19" s="2" customFormat="1" x14ac:dyDescent="0.2">
      <c r="A48" s="22" t="s">
        <v>9</v>
      </c>
      <c r="B48" s="27" t="s">
        <v>30</v>
      </c>
      <c r="C48" s="27" t="s">
        <v>31</v>
      </c>
      <c r="D48" s="27" t="s">
        <v>32</v>
      </c>
      <c r="E48" s="28" t="s">
        <v>33</v>
      </c>
      <c r="F48"/>
      <c r="G48"/>
      <c r="H48"/>
      <c r="I48"/>
      <c r="J48"/>
      <c r="K48"/>
      <c r="L48"/>
      <c r="M48"/>
      <c r="N48"/>
      <c r="O48"/>
      <c r="P48"/>
      <c r="Q48"/>
      <c r="R48"/>
      <c r="S48"/>
    </row>
    <row r="49" spans="1:19" s="2" customFormat="1" x14ac:dyDescent="0.2">
      <c r="A49" s="29"/>
      <c r="B49" s="30">
        <f>C9</f>
        <v>306.03437500000001</v>
      </c>
      <c r="C49" s="31">
        <f>C18</f>
        <v>139.61812500000002</v>
      </c>
      <c r="D49" s="32">
        <f>C29</f>
        <v>166.90440440440429</v>
      </c>
      <c r="E49" s="33">
        <f>A33</f>
        <v>1303.4430955955957</v>
      </c>
      <c r="F49"/>
      <c r="G49"/>
      <c r="H49"/>
      <c r="I49"/>
      <c r="J49"/>
      <c r="K49"/>
      <c r="L49"/>
      <c r="M49"/>
      <c r="N49"/>
      <c r="O49"/>
      <c r="P49"/>
      <c r="Q49"/>
      <c r="R49"/>
      <c r="S49"/>
    </row>
    <row r="50" spans="1:19" s="2" customFormat="1" x14ac:dyDescent="0.2">
      <c r="A50" s="34">
        <v>16000</v>
      </c>
      <c r="B50" s="35">
        <f t="dataTable" ref="B50:E55" dt2D="0" dtr="0" r1="B9"/>
        <v>445.14090909090908</v>
      </c>
      <c r="C50" s="36">
        <v>0.51159090909091753</v>
      </c>
      <c r="D50" s="36">
        <v>166.9044044044044</v>
      </c>
      <c r="E50" s="37">
        <v>1303.4430955955957</v>
      </c>
      <c r="F50"/>
      <c r="G50"/>
      <c r="H50"/>
      <c r="I50"/>
      <c r="J50"/>
      <c r="K50"/>
      <c r="L50"/>
      <c r="M50"/>
      <c r="N50"/>
      <c r="O50"/>
      <c r="P50"/>
      <c r="Q50"/>
      <c r="R50"/>
      <c r="S50"/>
    </row>
    <row r="51" spans="1:19" s="2" customFormat="1" x14ac:dyDescent="0.2">
      <c r="A51" s="34">
        <v>25000</v>
      </c>
      <c r="B51" s="35">
        <v>244.82749999999999</v>
      </c>
      <c r="C51" s="36">
        <v>200.82500000000002</v>
      </c>
      <c r="D51" s="36">
        <v>166.90440440440429</v>
      </c>
      <c r="E51" s="37">
        <v>1303.4430955955957</v>
      </c>
      <c r="F51"/>
      <c r="G51"/>
      <c r="H51"/>
      <c r="I51"/>
      <c r="J51"/>
      <c r="K51"/>
      <c r="L51"/>
      <c r="M51"/>
      <c r="N51"/>
      <c r="O51"/>
      <c r="P51"/>
      <c r="Q51"/>
      <c r="R51"/>
      <c r="S51"/>
    </row>
    <row r="52" spans="1:19" s="2" customFormat="1" x14ac:dyDescent="0.2">
      <c r="A52" s="34">
        <v>50000</v>
      </c>
      <c r="B52" s="35">
        <v>108.81222222222222</v>
      </c>
      <c r="C52" s="36">
        <v>336.84027777777783</v>
      </c>
      <c r="D52" s="36">
        <v>166.9044044044044</v>
      </c>
      <c r="E52" s="37">
        <v>1303.4430955955954</v>
      </c>
      <c r="F52"/>
      <c r="G52"/>
      <c r="H52"/>
      <c r="I52"/>
      <c r="J52"/>
      <c r="K52"/>
      <c r="L52"/>
      <c r="M52"/>
      <c r="N52"/>
      <c r="O52"/>
      <c r="P52"/>
      <c r="Q52"/>
      <c r="R52"/>
      <c r="S52"/>
    </row>
    <row r="53" spans="1:19" s="2" customFormat="1" x14ac:dyDescent="0.2">
      <c r="A53" s="34">
        <v>100000</v>
      </c>
      <c r="B53" s="35">
        <v>51.542631578947372</v>
      </c>
      <c r="C53" s="36">
        <v>394.10986842105268</v>
      </c>
      <c r="D53" s="36">
        <v>166.90440440440395</v>
      </c>
      <c r="E53" s="37">
        <v>1303.4430955955959</v>
      </c>
      <c r="F53"/>
      <c r="G53"/>
      <c r="H53"/>
      <c r="I53"/>
      <c r="J53"/>
      <c r="K53"/>
      <c r="L53"/>
      <c r="M53"/>
      <c r="N53"/>
      <c r="O53"/>
      <c r="P53"/>
      <c r="Q53"/>
      <c r="R53"/>
      <c r="S53"/>
    </row>
    <row r="54" spans="1:19" s="2" customFormat="1" x14ac:dyDescent="0.2">
      <c r="A54" s="34">
        <v>150000</v>
      </c>
      <c r="B54" s="35">
        <v>33.769310344827588</v>
      </c>
      <c r="C54" s="36">
        <v>411.88318965517243</v>
      </c>
      <c r="D54" s="36">
        <v>166.9044044044044</v>
      </c>
      <c r="E54" s="37">
        <v>1303.4430955955957</v>
      </c>
      <c r="F54"/>
      <c r="G54"/>
      <c r="H54"/>
      <c r="I54"/>
      <c r="J54"/>
      <c r="K54"/>
      <c r="L54"/>
      <c r="M54"/>
      <c r="N54"/>
      <c r="O54"/>
      <c r="P54"/>
      <c r="Q54"/>
      <c r="R54"/>
      <c r="S54"/>
    </row>
    <row r="55" spans="1:19" s="2" customFormat="1" ht="15" thickBot="1" x14ac:dyDescent="0.25">
      <c r="A55" s="38">
        <v>250000</v>
      </c>
      <c r="B55" s="39">
        <v>19.98591836734694</v>
      </c>
      <c r="C55" s="40">
        <v>425.66658163265311</v>
      </c>
      <c r="D55" s="40">
        <v>166.9044044044044</v>
      </c>
      <c r="E55" s="41">
        <v>1303.4430955955954</v>
      </c>
      <c r="F55"/>
      <c r="G55"/>
      <c r="H55"/>
      <c r="I55"/>
      <c r="J55"/>
      <c r="K55"/>
      <c r="L55"/>
      <c r="M55"/>
      <c r="N55"/>
      <c r="O55"/>
      <c r="P55"/>
      <c r="Q55"/>
      <c r="R55"/>
      <c r="S55"/>
    </row>
  </sheetData>
  <sheetProtection selectLockedCells="1"/>
  <conditionalFormatting sqref="A18:D20">
    <cfRule type="expression" dxfId="4" priority="2">
      <formula>$C$18&lt;0</formula>
    </cfRule>
  </conditionalFormatting>
  <conditionalFormatting sqref="A29">
    <cfRule type="expression" dxfId="5" priority="3">
      <formula>$C$29&lt;0</formula>
    </cfRule>
  </conditionalFormatting>
  <conditionalFormatting sqref="D10:D12">
    <cfRule type="expression" dxfId="3" priority="4">
      <formula>$C$18&lt;0</formula>
    </cfRule>
  </conditionalFormatting>
  <conditionalFormatting sqref="B18">
    <cfRule type="expression" dxfId="0" priority="1">
      <formula>$B$18&gt;5000</formula>
    </cfRule>
  </conditionalFormatting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Monthly Vol</vt:lpstr>
      <vt:lpstr>'Monthly Vol'!Print_Area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Ferguson</dc:creator>
  <cp:lastModifiedBy>Bill Ferguson</cp:lastModifiedBy>
  <dcterms:created xsi:type="dcterms:W3CDTF">2025-09-09T21:08:32Z</dcterms:created>
  <dcterms:modified xsi:type="dcterms:W3CDTF">2025-09-21T23:30:50Z</dcterms:modified>
</cp:coreProperties>
</file>